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10185" tabRatio="809"/>
  </bookViews>
  <sheets>
    <sheet name="primer ogrevanje" sheetId="22" r:id="rId1"/>
    <sheet name="grafikon" sheetId="23" r:id="rId2"/>
    <sheet name="postopek" sheetId="24" r:id="rId3"/>
  </sheets>
  <calcPr calcId="145621"/>
</workbook>
</file>

<file path=xl/calcChain.xml><?xml version="1.0" encoding="utf-8"?>
<calcChain xmlns="http://schemas.openxmlformats.org/spreadsheetml/2006/main">
  <c r="H6" i="22" l="1"/>
  <c r="X4" i="22" l="1"/>
  <c r="Q6" i="22" l="1"/>
  <c r="Q5" i="22"/>
  <c r="E11" i="22" l="1"/>
  <c r="DI15" i="22" l="1"/>
  <c r="M8" i="22"/>
  <c r="N8" i="22"/>
  <c r="M10" i="22"/>
  <c r="N10" i="22"/>
  <c r="DK14" i="22"/>
  <c r="D14" i="22"/>
  <c r="D13" i="22"/>
  <c r="F11" i="22"/>
  <c r="O8" i="22" s="1"/>
  <c r="D11" i="22"/>
  <c r="C11" i="22"/>
  <c r="B11" i="22"/>
  <c r="N9" i="22"/>
  <c r="M9" i="22"/>
  <c r="N7" i="22"/>
  <c r="M7" i="22"/>
  <c r="O6" i="22"/>
  <c r="P6" i="22" s="1"/>
  <c r="M6" i="22"/>
  <c r="A6" i="22"/>
  <c r="DI16" i="22" s="1"/>
  <c r="O5" i="22"/>
  <c r="P5" i="22" s="1"/>
  <c r="N5" i="22"/>
  <c r="DJ18" i="22" l="1"/>
  <c r="DJ17" i="22"/>
  <c r="DJ19" i="22"/>
  <c r="DJ20" i="22"/>
  <c r="O10" i="22"/>
  <c r="D15" i="22"/>
  <c r="H8" i="22" s="1"/>
  <c r="I8" i="22" s="1"/>
  <c r="O9" i="22"/>
  <c r="O7" i="22"/>
  <c r="A7" i="22"/>
  <c r="A8" i="22" l="1"/>
  <c r="DI17" i="22"/>
  <c r="H10" i="22"/>
  <c r="H7" i="22"/>
  <c r="I7" i="22" s="1"/>
  <c r="O11" i="22"/>
  <c r="H9" i="22"/>
  <c r="I9" i="22" s="1"/>
  <c r="I6" i="22"/>
  <c r="H5" i="22"/>
  <c r="I5" i="22" s="1"/>
  <c r="A9" i="22" l="1"/>
  <c r="DI18" i="22"/>
  <c r="I10" i="22"/>
  <c r="I12" i="22" s="1"/>
  <c r="H11" i="22"/>
  <c r="A10" i="22" l="1"/>
  <c r="DI20" i="22" s="1"/>
  <c r="DI19" i="22"/>
  <c r="A11" i="22"/>
  <c r="F12" i="22" s="1"/>
  <c r="J8" i="22"/>
  <c r="P8" i="22" s="1"/>
  <c r="J10" i="22"/>
  <c r="P10" i="22" s="1"/>
  <c r="J7" i="22"/>
  <c r="P7" i="22" s="1"/>
  <c r="J9" i="22"/>
  <c r="J5" i="22"/>
  <c r="J6" i="22"/>
  <c r="K9" i="22"/>
  <c r="AB9" i="22" s="1"/>
  <c r="K8" i="22"/>
  <c r="K7" i="22"/>
  <c r="K5" i="22"/>
  <c r="AC5" i="22" s="1"/>
  <c r="K6" i="22"/>
  <c r="AB6" i="22" s="1"/>
  <c r="P9" i="22"/>
  <c r="K10" i="22"/>
  <c r="AC9" i="22"/>
  <c r="AB5" i="22" l="1"/>
  <c r="AB8" i="22"/>
  <c r="AC8" i="22"/>
  <c r="AC6" i="22"/>
  <c r="AB7" i="22"/>
  <c r="K11" i="22"/>
  <c r="N6" i="22"/>
  <c r="DJ16" i="22" s="1"/>
  <c r="M5" i="22"/>
  <c r="DJ15" i="22" s="1"/>
  <c r="AC7" i="22"/>
  <c r="P11" i="22"/>
  <c r="J11" i="22"/>
  <c r="AB10" i="22"/>
  <c r="AC10" i="22"/>
  <c r="M11" i="22" l="1"/>
  <c r="N11" i="22"/>
  <c r="H14" i="22" l="1"/>
  <c r="H15" i="22" s="1"/>
  <c r="Q9" i="22" l="1"/>
  <c r="DK19" i="22" s="1"/>
  <c r="Q10" i="22"/>
  <c r="DK20" i="22" s="1"/>
  <c r="Q8" i="22"/>
  <c r="Q7" i="22"/>
  <c r="S9" i="22" l="1"/>
  <c r="AD9" i="22"/>
  <c r="R9" i="22"/>
  <c r="DK16" i="22"/>
  <c r="S6" i="22"/>
  <c r="AD6" i="22"/>
  <c r="R6" i="22"/>
  <c r="T6" i="22" s="1"/>
  <c r="DK15" i="22"/>
  <c r="AD5" i="22"/>
  <c r="S5" i="22"/>
  <c r="R5" i="22"/>
  <c r="T5" i="22" s="1"/>
  <c r="AD7" i="22"/>
  <c r="DK17" i="22"/>
  <c r="AD8" i="22"/>
  <c r="DK18" i="22"/>
  <c r="R7" i="22"/>
  <c r="T7" i="22" s="1"/>
  <c r="Q11" i="22"/>
  <c r="S8" i="22"/>
  <c r="R8" i="22"/>
  <c r="S7" i="22"/>
  <c r="AD10" i="22"/>
  <c r="R10" i="22"/>
  <c r="S10" i="22"/>
  <c r="T9" i="22" l="1"/>
  <c r="T8" i="22"/>
  <c r="S11" i="22"/>
  <c r="T10" i="22"/>
  <c r="R11" i="22"/>
  <c r="T11" i="22" l="1"/>
  <c r="U10" i="22" s="1"/>
  <c r="DL20" i="22" s="1"/>
  <c r="U7" i="22" l="1"/>
  <c r="U5" i="22"/>
  <c r="DL15" i="22" s="1"/>
  <c r="U6" i="22"/>
  <c r="DL16" i="22" s="1"/>
  <c r="U8" i="22"/>
  <c r="U9" i="22"/>
  <c r="DL19" i="22" s="1"/>
  <c r="Z13" i="22" l="1"/>
  <c r="DL17" i="22"/>
  <c r="Z14" i="22"/>
  <c r="U11" i="22"/>
  <c r="DL18" i="22"/>
  <c r="X10" i="22"/>
  <c r="X9" i="22"/>
  <c r="X8" i="22"/>
  <c r="X6" i="22"/>
  <c r="X7" i="22"/>
  <c r="W9" i="22"/>
  <c r="X5" i="22"/>
  <c r="Z9" i="22" l="1"/>
  <c r="W10" i="22"/>
  <c r="Z10" i="22" s="1"/>
  <c r="X11" i="22"/>
  <c r="W7" i="22"/>
  <c r="Z7" i="22" s="1"/>
  <c r="W5" i="22"/>
  <c r="W8" i="22"/>
  <c r="Z8" i="22" s="1"/>
  <c r="W6" i="22"/>
  <c r="Z6" i="22" s="1"/>
  <c r="W11" i="22" l="1"/>
  <c r="Z5" i="22"/>
  <c r="Z11" i="22" s="1"/>
</calcChain>
</file>

<file path=xl/comments1.xml><?xml version="1.0" encoding="utf-8"?>
<comments xmlns="http://schemas.openxmlformats.org/spreadsheetml/2006/main">
  <authors>
    <author>Mare</author>
  </authors>
  <commentList>
    <comment ref="E11" authorId="0">
      <text>
        <r>
          <rPr>
            <sz val="9"/>
            <color indexed="81"/>
            <rFont val="Segoe UI"/>
            <family val="2"/>
            <charset val="238"/>
          </rPr>
          <t>koliko je takih po 11. in 12. členu</t>
        </r>
      </text>
    </comment>
    <comment ref="F12" authorId="0">
      <text>
        <r>
          <rPr>
            <sz val="9"/>
            <color indexed="81"/>
            <rFont val="Segoe UI"/>
            <family val="2"/>
            <charset val="238"/>
          </rPr>
          <t>koliko jih je po delilnikih</t>
        </r>
      </text>
    </comment>
    <comment ref="D15" authorId="0">
      <text>
        <r>
          <rPr>
            <b/>
            <sz val="9"/>
            <color indexed="81"/>
            <rFont val="Segoe UI"/>
            <family val="2"/>
            <charset val="238"/>
          </rPr>
          <t>največja razlika višin v %</t>
        </r>
      </text>
    </comment>
  </commentList>
</comments>
</file>

<file path=xl/sharedStrings.xml><?xml version="1.0" encoding="utf-8"?>
<sst xmlns="http://schemas.openxmlformats.org/spreadsheetml/2006/main" count="60" uniqueCount="59">
  <si>
    <t>št.</t>
  </si>
  <si>
    <t>m2</t>
  </si>
  <si>
    <t>K</t>
  </si>
  <si>
    <t>odčitki delilnikov</t>
  </si>
  <si>
    <t>delež površine</t>
  </si>
  <si>
    <t>min</t>
  </si>
  <si>
    <t>ogrevana površina</t>
  </si>
  <si>
    <t>enote</t>
  </si>
  <si>
    <t>toplotne izgube</t>
  </si>
  <si>
    <t>W</t>
  </si>
  <si>
    <t>"11" ali "12"</t>
  </si>
  <si>
    <t>korigiran delež po delilnikih 15. člen
1. odstavek</t>
  </si>
  <si>
    <t>omejitev
18. člen
1. odstavek</t>
  </si>
  <si>
    <t>omejitev
18. člen
2. odstavek</t>
  </si>
  <si>
    <t>preračun porabniških deležev
19. člen</t>
  </si>
  <si>
    <t>delež po površini
10. člen</t>
  </si>
  <si>
    <t>delež po delilnikih
10. člen</t>
  </si>
  <si>
    <t>razdelilnik 20. člen</t>
  </si>
  <si>
    <t>višina posameznega dela</t>
  </si>
  <si>
    <t>m</t>
  </si>
  <si>
    <t>m2 oz. m3</t>
  </si>
  <si>
    <t>ogrevana površina ali prostornina
17. člen</t>
  </si>
  <si>
    <t>B/H</t>
  </si>
  <si>
    <t>3 x K</t>
  </si>
  <si>
    <t>O x J</t>
  </si>
  <si>
    <t>min 0,4 x K</t>
  </si>
  <si>
    <t>max 3 x K</t>
  </si>
  <si>
    <t>W + X</t>
  </si>
  <si>
    <t>preračun porab. deležev
19. člen</t>
  </si>
  <si>
    <t>porabniški delež
11. člen , 12. člen</t>
  </si>
  <si>
    <t>(Podatki za grafikon)</t>
  </si>
  <si>
    <t>porabniški deleži pred preračunom
19. člen</t>
  </si>
  <si>
    <t>delež površine x</t>
  </si>
  <si>
    <t>W/m2 oz. W/m3</t>
  </si>
  <si>
    <t>ni odčitkov vnesi "11" ali "12"</t>
  </si>
  <si>
    <t>min višina</t>
  </si>
  <si>
    <t>max višina</t>
  </si>
  <si>
    <t>razlika višin v %</t>
  </si>
  <si>
    <t>ogrevane površine po 11. in 12. členu</t>
  </si>
  <si>
    <t>ogrevane površine z delilniki</t>
  </si>
  <si>
    <t xml:space="preserve">      priprava-preračun podatkov</t>
  </si>
  <si>
    <t>izračun porabniških deležev</t>
  </si>
  <si>
    <t xml:space="preserve">        vnos podatkov OGREVANJE</t>
  </si>
  <si>
    <t>specifične toplotne izgube
15. člen</t>
  </si>
  <si>
    <t>korekturni faktor
15. člen</t>
  </si>
  <si>
    <t>osnovni porabniški delež po delilnikih
13. člen</t>
  </si>
  <si>
    <t>Podatke se vpisuje v rumena polja</t>
  </si>
  <si>
    <t>porabniški delež po delilnikih 15. člen
4. odstavek</t>
  </si>
  <si>
    <t>X kratnik deleža poršine
15. člen
4. odstavek</t>
  </si>
  <si>
    <t>porabniški delež
12. člen
(krivda)</t>
  </si>
  <si>
    <t>porabniški delež
11. člen
(ni krivde)</t>
  </si>
  <si>
    <t>F/F11</t>
  </si>
  <si>
    <t>(P/P11)
x
(H15/C11)</t>
  </si>
  <si>
    <t>T / T11</t>
  </si>
  <si>
    <t>W4 x U</t>
  </si>
  <si>
    <t>H/H11</t>
  </si>
  <si>
    <t>I12/I</t>
  </si>
  <si>
    <t>C ali CxD
odvisno od
D15</t>
  </si>
  <si>
    <t>X4 x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</si>
</sst>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7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Alignment="1">
      <alignment wrapText="1"/>
    </xf>
    <xf numFmtId="164" fontId="0" fillId="6" borderId="1" xfId="0" applyNumberForma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0" borderId="0" xfId="0" applyFont="1"/>
    <xf numFmtId="0" fontId="0" fillId="3" borderId="4" xfId="0" applyFill="1" applyBorder="1" applyAlignment="1">
      <alignment horizontal="center" vertical="center" wrapText="1"/>
    </xf>
    <xf numFmtId="164" fontId="0" fillId="6" borderId="9" xfId="0" applyNumberFormat="1" applyFill="1" applyBorder="1" applyAlignment="1">
      <alignment horizontal="right" vertical="center"/>
    </xf>
    <xf numFmtId="0" fontId="1" fillId="7" borderId="3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right" vertical="center"/>
    </xf>
    <xf numFmtId="164" fontId="0" fillId="6" borderId="3" xfId="0" applyNumberFormat="1" applyFont="1" applyFill="1" applyBorder="1" applyAlignment="1">
      <alignment horizontal="right" vertical="center"/>
    </xf>
    <xf numFmtId="0" fontId="2" fillId="6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 vertical="center"/>
    </xf>
    <xf numFmtId="0" fontId="0" fillId="3" borderId="0" xfId="0" applyFill="1"/>
    <xf numFmtId="0" fontId="0" fillId="3" borderId="8" xfId="0" applyFill="1" applyBorder="1"/>
    <xf numFmtId="0" fontId="0" fillId="6" borderId="3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1" xfId="0" quotePrefix="1" applyFill="1" applyBorder="1" applyAlignment="1">
      <alignment vertical="center"/>
    </xf>
    <xf numFmtId="0" fontId="0" fillId="6" borderId="10" xfId="0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right" vertical="center"/>
    </xf>
    <xf numFmtId="164" fontId="0" fillId="6" borderId="6" xfId="0" applyNumberFormat="1" applyFill="1" applyBorder="1" applyAlignment="1">
      <alignment horizontal="right" vertical="center"/>
    </xf>
    <xf numFmtId="164" fontId="0" fillId="6" borderId="14" xfId="0" applyNumberFormat="1" applyFill="1" applyBorder="1" applyAlignment="1">
      <alignment horizontal="right" vertical="center"/>
    </xf>
    <xf numFmtId="0" fontId="0" fillId="6" borderId="13" xfId="0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/>
    </xf>
    <xf numFmtId="0" fontId="0" fillId="3" borderId="17" xfId="0" applyFill="1" applyBorder="1"/>
    <xf numFmtId="0" fontId="0" fillId="6" borderId="16" xfId="0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/>
    </xf>
    <xf numFmtId="0" fontId="0" fillId="5" borderId="13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5" xfId="0" applyFont="1" applyBorder="1"/>
    <xf numFmtId="0" fontId="0" fillId="3" borderId="19" xfId="0" applyFill="1" applyBorder="1"/>
    <xf numFmtId="0" fontId="0" fillId="4" borderId="17" xfId="0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0" fillId="6" borderId="14" xfId="0" applyFill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wrapText="1"/>
    </xf>
    <xf numFmtId="0" fontId="0" fillId="7" borderId="14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/>
    <xf numFmtId="0" fontId="8" fillId="3" borderId="24" xfId="0" applyFont="1" applyFill="1" applyBorder="1"/>
    <xf numFmtId="0" fontId="9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0" fillId="8" borderId="0" xfId="0" applyFont="1" applyFill="1"/>
    <xf numFmtId="0" fontId="10" fillId="8" borderId="0" xfId="0" applyFont="1" applyFill="1" applyAlignment="1">
      <alignment wrapText="1"/>
    </xf>
    <xf numFmtId="164" fontId="10" fillId="8" borderId="0" xfId="0" applyNumberFormat="1" applyFont="1" applyFill="1"/>
    <xf numFmtId="0" fontId="0" fillId="8" borderId="0" xfId="0" applyFill="1" applyBorder="1"/>
    <xf numFmtId="0" fontId="0" fillId="8" borderId="0" xfId="0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9" fontId="10" fillId="8" borderId="0" xfId="0" applyNumberFormat="1" applyFont="1" applyFill="1" applyBorder="1" applyAlignment="1">
      <alignment horizontal="center" vertical="center"/>
    </xf>
    <xf numFmtId="10" fontId="10" fillId="8" borderId="0" xfId="0" applyNumberFormat="1" applyFont="1" applyFill="1" applyBorder="1"/>
    <xf numFmtId="0" fontId="1" fillId="7" borderId="7" xfId="0" applyFont="1" applyFill="1" applyBorder="1"/>
    <xf numFmtId="2" fontId="0" fillId="7" borderId="7" xfId="0" applyNumberFormat="1" applyFill="1" applyBorder="1"/>
    <xf numFmtId="0" fontId="0" fillId="7" borderId="8" xfId="0" applyFill="1" applyBorder="1"/>
    <xf numFmtId="0" fontId="0" fillId="7" borderId="6" xfId="0" applyFill="1" applyBorder="1"/>
    <xf numFmtId="0" fontId="0" fillId="7" borderId="1" xfId="0" applyFill="1" applyBorder="1"/>
    <xf numFmtId="3" fontId="0" fillId="2" borderId="3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vertical="center"/>
    </xf>
    <xf numFmtId="165" fontId="0" fillId="7" borderId="3" xfId="0" applyNumberForma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165" fontId="0" fillId="7" borderId="9" xfId="0" applyNumberFormat="1" applyFill="1" applyBorder="1" applyAlignment="1">
      <alignment vertical="center"/>
    </xf>
    <xf numFmtId="166" fontId="0" fillId="2" borderId="3" xfId="0" applyNumberFormat="1" applyFill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0" fontId="0" fillId="0" borderId="19" xfId="0" applyBorder="1" applyAlignment="1">
      <alignment vertical="center"/>
    </xf>
    <xf numFmtId="166" fontId="0" fillId="7" borderId="10" xfId="0" applyNumberFormat="1" applyFill="1" applyBorder="1" applyAlignment="1">
      <alignment vertical="center"/>
    </xf>
    <xf numFmtId="164" fontId="0" fillId="7" borderId="16" xfId="0" applyNumberFormat="1" applyFill="1" applyBorder="1" applyAlignment="1">
      <alignment vertical="center"/>
    </xf>
    <xf numFmtId="164" fontId="0" fillId="6" borderId="10" xfId="0" applyNumberFormat="1" applyFill="1" applyBorder="1" applyAlignment="1">
      <alignment vertical="center"/>
    </xf>
    <xf numFmtId="164" fontId="0" fillId="6" borderId="16" xfId="0" applyNumberFormat="1" applyFill="1" applyBorder="1" applyAlignment="1">
      <alignment vertical="center"/>
    </xf>
    <xf numFmtId="164" fontId="0" fillId="5" borderId="16" xfId="0" applyNumberFormat="1" applyFill="1" applyBorder="1" applyAlignment="1">
      <alignment vertical="center"/>
    </xf>
    <xf numFmtId="164" fontId="0" fillId="4" borderId="18" xfId="0" applyNumberFormat="1" applyFill="1" applyBorder="1" applyAlignment="1">
      <alignment vertical="center"/>
    </xf>
    <xf numFmtId="166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0" fillId="2" borderId="13" xfId="0" applyNumberFormat="1" applyFill="1" applyBorder="1" applyAlignment="1">
      <alignment vertical="center"/>
    </xf>
    <xf numFmtId="166" fontId="0" fillId="7" borderId="6" xfId="0" applyNumberFormat="1" applyFill="1" applyBorder="1" applyAlignment="1">
      <alignment vertical="center"/>
    </xf>
    <xf numFmtId="164" fontId="0" fillId="7" borderId="13" xfId="0" applyNumberFormat="1" applyFill="1" applyBorder="1" applyAlignment="1">
      <alignment vertical="center"/>
    </xf>
    <xf numFmtId="164" fontId="0" fillId="6" borderId="6" xfId="0" applyNumberFormat="1" applyFill="1" applyBorder="1" applyAlignment="1">
      <alignment vertical="center"/>
    </xf>
    <xf numFmtId="164" fontId="0" fillId="6" borderId="13" xfId="0" applyNumberFormat="1" applyFill="1" applyBorder="1" applyAlignment="1">
      <alignment vertical="center"/>
    </xf>
    <xf numFmtId="164" fontId="0" fillId="5" borderId="13" xfId="0" applyNumberFormat="1" applyFill="1" applyBorder="1" applyAlignment="1">
      <alignment vertical="center"/>
    </xf>
    <xf numFmtId="164" fontId="0" fillId="4" borderId="17" xfId="0" applyNumberFormat="1" applyFill="1" applyBorder="1" applyAlignment="1">
      <alignment vertical="center"/>
    </xf>
    <xf numFmtId="166" fontId="0" fillId="2" borderId="9" xfId="0" applyNumberFormat="1" applyFill="1" applyBorder="1" applyAlignment="1">
      <alignment vertical="center"/>
    </xf>
    <xf numFmtId="2" fontId="0" fillId="2" borderId="9" xfId="0" applyNumberForma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3" fontId="0" fillId="2" borderId="15" xfId="0" applyNumberFormat="1" applyFill="1" applyBorder="1" applyAlignment="1">
      <alignment vertical="center"/>
    </xf>
    <xf numFmtId="166" fontId="0" fillId="7" borderId="14" xfId="0" applyNumberFormat="1" applyFill="1" applyBorder="1" applyAlignment="1">
      <alignment vertical="center"/>
    </xf>
    <xf numFmtId="164" fontId="0" fillId="7" borderId="15" xfId="0" applyNumberFormat="1" applyFill="1" applyBorder="1" applyAlignment="1">
      <alignment vertical="center"/>
    </xf>
    <xf numFmtId="164" fontId="0" fillId="6" borderId="14" xfId="0" applyNumberFormat="1" applyFill="1" applyBorder="1" applyAlignment="1">
      <alignment vertical="center"/>
    </xf>
    <xf numFmtId="164" fontId="0" fillId="6" borderId="15" xfId="0" applyNumberFormat="1" applyFill="1" applyBorder="1" applyAlignment="1">
      <alignment vertical="center"/>
    </xf>
    <xf numFmtId="164" fontId="0" fillId="5" borderId="15" xfId="0" applyNumberFormat="1" applyFill="1" applyBorder="1" applyAlignment="1">
      <alignment vertical="center"/>
    </xf>
    <xf numFmtId="164" fontId="0" fillId="4" borderId="20" xfId="0" applyNumberFormat="1" applyFill="1" applyBorder="1" applyAlignment="1">
      <alignment vertical="center"/>
    </xf>
    <xf numFmtId="166" fontId="1" fillId="3" borderId="3" xfId="0" applyNumberFormat="1" applyFont="1" applyFill="1" applyBorder="1" applyAlignment="1">
      <alignment vertical="center"/>
    </xf>
    <xf numFmtId="2" fontId="1" fillId="3" borderId="3" xfId="0" applyNumberFormat="1" applyFont="1" applyFill="1" applyBorder="1" applyAlignment="1">
      <alignment vertical="center"/>
    </xf>
    <xf numFmtId="3" fontId="1" fillId="7" borderId="3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166" fontId="1" fillId="7" borderId="10" xfId="0" applyNumberFormat="1" applyFont="1" applyFill="1" applyBorder="1" applyAlignment="1">
      <alignment vertical="center"/>
    </xf>
    <xf numFmtId="164" fontId="1" fillId="7" borderId="16" xfId="0" applyNumberFormat="1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9" fontId="1" fillId="6" borderId="10" xfId="0" applyNumberFormat="1" applyFont="1" applyFill="1" applyBorder="1" applyAlignment="1">
      <alignment vertical="center"/>
    </xf>
    <xf numFmtId="9" fontId="1" fillId="6" borderId="16" xfId="0" applyNumberFormat="1" applyFont="1" applyFill="1" applyBorder="1" applyAlignment="1">
      <alignment vertical="center"/>
    </xf>
    <xf numFmtId="164" fontId="3" fillId="6" borderId="10" xfId="0" applyNumberFormat="1" applyFont="1" applyFill="1" applyBorder="1" applyAlignment="1">
      <alignment vertical="center"/>
    </xf>
    <xf numFmtId="164" fontId="3" fillId="6" borderId="3" xfId="0" applyNumberFormat="1" applyFont="1" applyFill="1" applyBorder="1" applyAlignment="1">
      <alignment vertical="center"/>
    </xf>
    <xf numFmtId="164" fontId="3" fillId="6" borderId="16" xfId="0" applyNumberFormat="1" applyFont="1" applyFill="1" applyBorder="1" applyAlignment="1">
      <alignment vertical="center"/>
    </xf>
    <xf numFmtId="164" fontId="1" fillId="6" borderId="10" xfId="0" applyNumberFormat="1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164" fontId="1" fillId="4" borderId="18" xfId="0" applyNumberFormat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4" fontId="0" fillId="6" borderId="3" xfId="0" applyNumberForma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164" fontId="0" fillId="6" borderId="9" xfId="0" applyNumberForma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0" fillId="8" borderId="0" xfId="0" applyFill="1"/>
    <xf numFmtId="2" fontId="0" fillId="9" borderId="3" xfId="0" applyNumberFormat="1" applyFill="1" applyBorder="1" applyAlignment="1">
      <alignment vertical="center"/>
    </xf>
    <xf numFmtId="2" fontId="0" fillId="9" borderId="1" xfId="0" applyNumberFormat="1" applyFill="1" applyBorder="1" applyAlignment="1">
      <alignment vertical="center"/>
    </xf>
    <xf numFmtId="2" fontId="0" fillId="9" borderId="9" xfId="0" applyNumberFormat="1" applyFill="1" applyBorder="1" applyAlignment="1">
      <alignment vertical="center"/>
    </xf>
    <xf numFmtId="9" fontId="4" fillId="2" borderId="14" xfId="0" applyNumberFormat="1" applyFont="1" applyFill="1" applyBorder="1" applyAlignment="1">
      <alignment horizontal="center" vertical="center"/>
    </xf>
    <xf numFmtId="9" fontId="4" fillId="5" borderId="15" xfId="0" applyNumberFormat="1" applyFont="1" applyFill="1" applyBorder="1" applyAlignment="1">
      <alignment horizontal="center" vertical="center"/>
    </xf>
    <xf numFmtId="9" fontId="4" fillId="6" borderId="9" xfId="0" applyNumberFormat="1" applyFont="1" applyFill="1" applyBorder="1" applyAlignment="1">
      <alignment horizontal="center" vertical="center"/>
    </xf>
    <xf numFmtId="9" fontId="4" fillId="6" borderId="15" xfId="0" applyNumberFormat="1" applyFont="1" applyFill="1" applyBorder="1" applyAlignment="1">
      <alignment horizontal="center" vertical="center"/>
    </xf>
    <xf numFmtId="167" fontId="1" fillId="8" borderId="0" xfId="0" applyNumberFormat="1" applyFon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right" vertical="center"/>
    </xf>
    <xf numFmtId="164" fontId="0" fillId="6" borderId="13" xfId="0" applyNumberFormat="1" applyFill="1" applyBorder="1" applyAlignment="1">
      <alignment horizontal="right" vertical="center"/>
    </xf>
    <xf numFmtId="164" fontId="0" fillId="6" borderId="15" xfId="0" applyNumberFormat="1" applyFill="1" applyBorder="1" applyAlignment="1">
      <alignment horizontal="right" vertical="center"/>
    </xf>
  </cellXfs>
  <cellStyles count="1">
    <cellStyle name="Navadno" xfId="0" builtinId="0"/>
  </cellStyles>
  <dxfs count="9">
    <dxf>
      <fill>
        <patternFill>
          <bgColor rgb="FFFF66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CCFF"/>
      <color rgb="FFFF66CC"/>
      <color rgb="FFFF9966"/>
      <color rgb="FF66FF66"/>
      <color rgb="FFFF3300"/>
      <color rgb="FFFF7C80"/>
      <color rgb="FF33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22276667821841E-2"/>
          <c:y val="6.5554760200429482E-2"/>
          <c:w val="0.949213001394273"/>
          <c:h val="0.896413332345995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'primer ogrevanje'!$DJ$14</c:f>
              <c:strCache>
                <c:ptCount val="1"/>
                <c:pt idx="0">
                  <c:v>porabniški delež
11. člen , 12. člen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8C-4548-8099-29588DF8CFA0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8C-4548-8099-29588DF8CFA0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8C-4548-8099-29588DF8CFA0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8C-4548-8099-29588DF8CF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'primer ogrevanje'!$DI$15:$DI$20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'primer ogrevanje'!$DJ$15:$DJ$20</c:f>
              <c:numCache>
                <c:formatCode>0.0%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58C-4548-8099-29588DF8CFA0}"/>
            </c:ext>
          </c:extLst>
        </c:ser>
        <c:ser>
          <c:idx val="3"/>
          <c:order val="1"/>
          <c:tx>
            <c:strRef>
              <c:f>'primer ogrevanje'!$DK$14</c:f>
              <c:strCache>
                <c:ptCount val="1"/>
                <c:pt idx="0">
                  <c:v>porabniški delež po delilnikih 15. člen
4. odstavek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8C-4548-8099-29588DF8CFA0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8C-4548-8099-29588DF8CF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'primer ogrevanje'!$DI$15:$DI$20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'primer ogrevanje'!$DK$15:$DK$20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5.9057079937631603E-2</c:v>
                </c:pt>
                <c:pt idx="4">
                  <c:v>7.0727041841474991E-2</c:v>
                </c:pt>
                <c:pt idx="5">
                  <c:v>0.53688254488756004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8C-4548-8099-29588DF8CFA0}"/>
            </c:ext>
          </c:extLst>
        </c:ser>
        <c:ser>
          <c:idx val="0"/>
          <c:order val="2"/>
          <c:tx>
            <c:strRef>
              <c:f>'primer ogrevanje'!$DL$14</c:f>
              <c:strCache>
                <c:ptCount val="1"/>
                <c:pt idx="0">
                  <c:v>preračun porab. deležev
19. člen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'primer ogrevanje'!$DI$15:$DI$20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'primer ogrevanje'!$DL$15:$DL$20</c:f>
              <c:numCache>
                <c:formatCode>0.0%</c:formatCode>
                <c:ptCount val="6"/>
                <c:pt idx="0">
                  <c:v>0.1215899749396946</c:v>
                </c:pt>
                <c:pt idx="1">
                  <c:v>0.36476992481908382</c:v>
                </c:pt>
                <c:pt idx="2">
                  <c:v>4.8635989975877841E-2</c:v>
                </c:pt>
                <c:pt idx="3">
                  <c:v>4.8635989975877841E-2</c:v>
                </c:pt>
                <c:pt idx="4">
                  <c:v>5.1598195470382059E-2</c:v>
                </c:pt>
                <c:pt idx="5">
                  <c:v>0.36476992481908382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8C-4548-8099-29588DF8CF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3948288"/>
        <c:axId val="103949440"/>
      </c:barChart>
      <c:catAx>
        <c:axId val="1039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949440"/>
        <c:crosses val="autoZero"/>
        <c:auto val="1"/>
        <c:lblAlgn val="ctr"/>
        <c:lblOffset val="100"/>
        <c:noMultiLvlLbl val="0"/>
      </c:catAx>
      <c:valAx>
        <c:axId val="103949440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94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7404153805237"/>
          <c:y val="6.4785788923719959E-2"/>
          <c:w val="0.5370175452735757"/>
          <c:h val="0.586715062648872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l-S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Grafikon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123825</xdr:rowOff>
        </xdr:from>
        <xdr:to>
          <xdr:col>49</xdr:col>
          <xdr:colOff>304800</xdr:colOff>
          <xdr:row>75</xdr:row>
          <xdr:rowOff>180975</xdr:rowOff>
        </xdr:to>
        <xdr:sp macro="" textlink="">
          <xdr:nvSpPr>
            <xdr:cNvPr id="49154" name="Object 2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L20"/>
  <sheetViews>
    <sheetView tabSelected="1" zoomScale="80" zoomScaleNormal="80" zoomScaleSheetLayoutView="75" workbookViewId="0">
      <selection activeCell="U29" sqref="U29"/>
    </sheetView>
  </sheetViews>
  <sheetFormatPr defaultRowHeight="15" x14ac:dyDescent="0.25"/>
  <cols>
    <col min="1" max="6" width="10.7109375" customWidth="1"/>
    <col min="7" max="7" width="2.85546875" customWidth="1"/>
    <col min="8" max="11" width="10.7109375" customWidth="1"/>
    <col min="12" max="12" width="2.85546875" customWidth="1"/>
    <col min="13" max="21" width="10.7109375" customWidth="1"/>
    <col min="22" max="22" width="2.85546875" customWidth="1"/>
    <col min="23" max="24" width="10.7109375" customWidth="1"/>
    <col min="25" max="25" width="2.85546875" customWidth="1"/>
    <col min="26" max="27" width="10.7109375" customWidth="1"/>
    <col min="28" max="28" width="8" customWidth="1"/>
    <col min="29" max="29" width="9.140625" customWidth="1"/>
    <col min="30" max="33" width="10.7109375" customWidth="1"/>
  </cols>
  <sheetData>
    <row r="1" spans="1:116" ht="21" x14ac:dyDescent="0.25">
      <c r="A1" s="68"/>
      <c r="B1" s="23" t="s">
        <v>42</v>
      </c>
      <c r="C1" s="18"/>
      <c r="D1" s="23"/>
      <c r="E1" s="24"/>
      <c r="F1" s="64"/>
      <c r="G1" s="56"/>
      <c r="H1" s="17" t="s">
        <v>40</v>
      </c>
      <c r="I1" s="19"/>
      <c r="J1" s="19"/>
      <c r="K1" s="40"/>
      <c r="L1" s="56"/>
      <c r="M1" s="19"/>
      <c r="N1" s="19"/>
      <c r="O1" s="17"/>
      <c r="P1" s="17" t="s">
        <v>41</v>
      </c>
      <c r="Q1" s="19"/>
      <c r="R1" s="19"/>
      <c r="S1" s="19"/>
      <c r="T1" s="19"/>
      <c r="U1" s="40"/>
      <c r="V1" s="46"/>
      <c r="W1" s="19"/>
      <c r="X1" s="40"/>
      <c r="Y1" s="46"/>
      <c r="Z1" s="50"/>
    </row>
    <row r="2" spans="1:116" ht="92.25" x14ac:dyDescent="1.35">
      <c r="A2" s="69"/>
      <c r="B2" s="8" t="s">
        <v>8</v>
      </c>
      <c r="C2" s="8" t="s">
        <v>6</v>
      </c>
      <c r="D2" s="8" t="s">
        <v>18</v>
      </c>
      <c r="E2" s="5" t="s">
        <v>34</v>
      </c>
      <c r="F2" s="65" t="s">
        <v>3</v>
      </c>
      <c r="G2" s="56"/>
      <c r="H2" s="61" t="s">
        <v>21</v>
      </c>
      <c r="I2" s="6" t="s">
        <v>43</v>
      </c>
      <c r="J2" s="6" t="s">
        <v>44</v>
      </c>
      <c r="K2" s="58" t="s">
        <v>4</v>
      </c>
      <c r="L2" s="57"/>
      <c r="M2" s="30" t="s">
        <v>50</v>
      </c>
      <c r="N2" s="36" t="s">
        <v>49</v>
      </c>
      <c r="O2" s="30" t="s">
        <v>45</v>
      </c>
      <c r="P2" s="20" t="s">
        <v>11</v>
      </c>
      <c r="Q2" s="20" t="s">
        <v>47</v>
      </c>
      <c r="R2" s="20" t="s">
        <v>12</v>
      </c>
      <c r="S2" s="36" t="s">
        <v>13</v>
      </c>
      <c r="T2" s="30" t="s">
        <v>31</v>
      </c>
      <c r="U2" s="41" t="s">
        <v>14</v>
      </c>
      <c r="V2" s="47"/>
      <c r="W2" s="45" t="s">
        <v>16</v>
      </c>
      <c r="X2" s="43" t="s">
        <v>15</v>
      </c>
      <c r="Y2" s="47"/>
      <c r="Z2" s="51" t="s">
        <v>17</v>
      </c>
      <c r="AB2" s="75"/>
      <c r="AC2" s="75"/>
      <c r="AD2" s="76" t="s">
        <v>48</v>
      </c>
      <c r="AF2" s="3"/>
    </row>
    <row r="3" spans="1:116" ht="51.75" customHeight="1" x14ac:dyDescent="0.25">
      <c r="A3" s="70"/>
      <c r="B3" s="25"/>
      <c r="C3" s="25"/>
      <c r="D3" s="25"/>
      <c r="E3" s="26"/>
      <c r="F3" s="66"/>
      <c r="G3" s="56"/>
      <c r="H3" s="62" t="s">
        <v>57</v>
      </c>
      <c r="I3" s="21" t="s">
        <v>22</v>
      </c>
      <c r="J3" s="21" t="s">
        <v>56</v>
      </c>
      <c r="K3" s="59" t="s">
        <v>55</v>
      </c>
      <c r="L3" s="56"/>
      <c r="M3" s="31" t="s">
        <v>2</v>
      </c>
      <c r="N3" s="37" t="s">
        <v>23</v>
      </c>
      <c r="O3" s="31" t="s">
        <v>51</v>
      </c>
      <c r="P3" s="22" t="s">
        <v>24</v>
      </c>
      <c r="Q3" s="22" t="s">
        <v>52</v>
      </c>
      <c r="R3" s="22" t="s">
        <v>25</v>
      </c>
      <c r="S3" s="37" t="s">
        <v>26</v>
      </c>
      <c r="T3" s="31"/>
      <c r="U3" s="37" t="s">
        <v>53</v>
      </c>
      <c r="V3" s="48"/>
      <c r="W3" s="31" t="s">
        <v>54</v>
      </c>
      <c r="X3" s="44" t="s">
        <v>58</v>
      </c>
      <c r="Y3" s="54"/>
      <c r="Z3" s="52" t="s">
        <v>27</v>
      </c>
      <c r="AB3" s="77" t="s">
        <v>32</v>
      </c>
      <c r="AC3" s="77" t="s">
        <v>32</v>
      </c>
      <c r="AD3" s="75"/>
    </row>
    <row r="4" spans="1:116" ht="30.75" thickBot="1" x14ac:dyDescent="0.3">
      <c r="A4" s="71" t="s">
        <v>0</v>
      </c>
      <c r="B4" s="27" t="s">
        <v>9</v>
      </c>
      <c r="C4" s="28" t="s">
        <v>1</v>
      </c>
      <c r="D4" s="28" t="s">
        <v>19</v>
      </c>
      <c r="E4" s="29" t="s">
        <v>10</v>
      </c>
      <c r="F4" s="67" t="s">
        <v>7</v>
      </c>
      <c r="G4" s="56"/>
      <c r="H4" s="63" t="s">
        <v>20</v>
      </c>
      <c r="I4" s="13" t="s">
        <v>33</v>
      </c>
      <c r="J4" s="12"/>
      <c r="K4" s="60"/>
      <c r="L4" s="56"/>
      <c r="M4" s="55"/>
      <c r="N4" s="38">
        <v>3</v>
      </c>
      <c r="O4" s="32"/>
      <c r="P4" s="16"/>
      <c r="Q4" s="16"/>
      <c r="R4" s="152">
        <v>0.4</v>
      </c>
      <c r="S4" s="153">
        <v>3</v>
      </c>
      <c r="T4" s="39"/>
      <c r="U4" s="42"/>
      <c r="V4" s="49"/>
      <c r="W4" s="150">
        <v>0.7</v>
      </c>
      <c r="X4" s="151">
        <f>1-W4</f>
        <v>0.30000000000000004</v>
      </c>
      <c r="Y4" s="46"/>
      <c r="Z4" s="53"/>
      <c r="AB4" s="78">
        <v>0.4</v>
      </c>
      <c r="AC4" s="78">
        <v>3</v>
      </c>
      <c r="AD4" s="75"/>
    </row>
    <row r="5" spans="1:116" ht="15.75" thickTop="1" x14ac:dyDescent="0.25">
      <c r="A5" s="137">
        <v>1</v>
      </c>
      <c r="B5" s="85">
        <v>1870</v>
      </c>
      <c r="C5" s="91">
        <v>50</v>
      </c>
      <c r="D5" s="92">
        <v>2.5</v>
      </c>
      <c r="E5" s="93">
        <v>11</v>
      </c>
      <c r="F5" s="94"/>
      <c r="G5" s="95"/>
      <c r="H5" s="96">
        <f t="shared" ref="H5:H10" si="0">IF($D$15&gt;10,C5*D5,C5)</f>
        <v>50</v>
      </c>
      <c r="I5" s="88">
        <f>B5/H5</f>
        <v>37.4</v>
      </c>
      <c r="J5" s="147">
        <f t="shared" ref="J5:J10" si="1">$I$12/I5</f>
        <v>0.80213903743315507</v>
      </c>
      <c r="K5" s="97">
        <f t="shared" ref="K5:K10" si="2">H5/$H$11</f>
        <v>0.16666666666666666</v>
      </c>
      <c r="L5" s="95"/>
      <c r="M5" s="33">
        <f>IF(E5=11,K5,"")</f>
        <v>0.16666666666666666</v>
      </c>
      <c r="N5" s="155" t="str">
        <f>IF(E5=12,$N$4*K5,"")</f>
        <v/>
      </c>
      <c r="O5" s="33" t="str">
        <f t="shared" ref="O5:O10" si="3">IF(AND(E5&lt;&gt;11,E5&lt;&gt;12),IF($F$11=0,1/$F$12,F5/$F$11),"")</f>
        <v/>
      </c>
      <c r="P5" s="14" t="str">
        <f t="shared" ref="P5:P10" si="4">IF(AND(E5&lt;&gt;11,E5&lt;&gt;12),J5*O5,"")</f>
        <v/>
      </c>
      <c r="Q5" s="15" t="str">
        <f>IF(AND(E5&lt;&gt;11,E5&lt;&gt;12),(P5/$P$11)*($H$15/$H$11),"")</f>
        <v/>
      </c>
      <c r="R5" s="138" t="str">
        <f t="shared" ref="R5:R10" si="5">IF(AND(E5&lt;&gt;11,E5&lt;&gt;12),IF(Q5&lt;K5*$R$4,$R$4*K5,""),"")</f>
        <v/>
      </c>
      <c r="S5" s="99" t="str">
        <f t="shared" ref="S5:S10" si="6">IF(AND(E5&lt;&gt;11,E5&lt;&gt;12),IF(Q5&gt;K5*$S$4,$S$4*K5,""),"")</f>
        <v/>
      </c>
      <c r="T5" s="98">
        <f t="shared" ref="T5:T10" si="7">IF(M5&lt;&gt;"",M5,IF(N5&lt;&gt;"",N5,IF(R5&lt;&gt;"",R5,IF(S5&lt;&gt;"",S5,Q5))))</f>
        <v>0.16666666666666666</v>
      </c>
      <c r="U5" s="99">
        <f t="shared" ref="U5:U10" si="8">T5/$T$11</f>
        <v>0.1215899749396946</v>
      </c>
      <c r="V5" s="48"/>
      <c r="W5" s="98">
        <f t="shared" ref="W5:W10" si="9">$W$4*U5</f>
        <v>8.5112982457786215E-2</v>
      </c>
      <c r="X5" s="100">
        <f t="shared" ref="X5:X10" si="10">$X$4*K5</f>
        <v>0.05</v>
      </c>
      <c r="Y5" s="48"/>
      <c r="Z5" s="101">
        <f t="shared" ref="Z5:Z10" si="11">X5+W5</f>
        <v>0.13511298245778622</v>
      </c>
      <c r="AB5" s="79">
        <f t="shared" ref="AB5:AB10" si="12">$R$4*K5</f>
        <v>6.6666666666666666E-2</v>
      </c>
      <c r="AC5" s="79">
        <f t="shared" ref="AC5:AC10" si="13">$S$4*K5</f>
        <v>0.5</v>
      </c>
      <c r="AD5" s="154" t="str">
        <f t="shared" ref="AD5:AD10" si="14">IF(AND(E5&lt;&gt;11,E5&lt;&gt;12),Q5/K5,"")</f>
        <v/>
      </c>
    </row>
    <row r="6" spans="1:116" x14ac:dyDescent="0.25">
      <c r="A6" s="139">
        <f>A5+1</f>
        <v>2</v>
      </c>
      <c r="B6" s="86">
        <v>1670</v>
      </c>
      <c r="C6" s="102">
        <v>50</v>
      </c>
      <c r="D6" s="103">
        <v>2.5</v>
      </c>
      <c r="E6" s="104">
        <v>12</v>
      </c>
      <c r="F6" s="105"/>
      <c r="G6" s="95"/>
      <c r="H6" s="106">
        <f>IF($D$15&gt;10,C6*D6,C6)</f>
        <v>50</v>
      </c>
      <c r="I6" s="89">
        <f t="shared" ref="I6:I10" si="15">B6/H6</f>
        <v>33.4</v>
      </c>
      <c r="J6" s="148">
        <f t="shared" si="1"/>
        <v>0.89820359281437134</v>
      </c>
      <c r="K6" s="107">
        <f t="shared" si="2"/>
        <v>0.16666666666666666</v>
      </c>
      <c r="L6" s="95"/>
      <c r="M6" s="34" t="str">
        <f>IF(E6=11,K6,"")</f>
        <v/>
      </c>
      <c r="N6" s="156">
        <f>IF(E6=12,$N$4*K6,"")</f>
        <v>0.5</v>
      </c>
      <c r="O6" s="34" t="str">
        <f t="shared" si="3"/>
        <v/>
      </c>
      <c r="P6" s="4" t="str">
        <f t="shared" si="4"/>
        <v/>
      </c>
      <c r="Q6" s="15" t="str">
        <f t="shared" ref="Q6:Q10" si="16">IF(AND(E6&lt;&gt;11,E6&lt;&gt;12),(P6/$P$11)*($H$15/$H$11),"")</f>
        <v/>
      </c>
      <c r="R6" s="140" t="str">
        <f t="shared" si="5"/>
        <v/>
      </c>
      <c r="S6" s="109" t="str">
        <f t="shared" si="6"/>
        <v/>
      </c>
      <c r="T6" s="108">
        <f t="shared" si="7"/>
        <v>0.5</v>
      </c>
      <c r="U6" s="109">
        <f t="shared" si="8"/>
        <v>0.36476992481908382</v>
      </c>
      <c r="V6" s="48"/>
      <c r="W6" s="108">
        <f t="shared" si="9"/>
        <v>0.25533894737335866</v>
      </c>
      <c r="X6" s="110">
        <f t="shared" si="10"/>
        <v>0.05</v>
      </c>
      <c r="Y6" s="48"/>
      <c r="Z6" s="111">
        <f t="shared" si="11"/>
        <v>0.30533894737335865</v>
      </c>
      <c r="AB6" s="79">
        <f t="shared" si="12"/>
        <v>6.6666666666666666E-2</v>
      </c>
      <c r="AC6" s="79">
        <f t="shared" si="13"/>
        <v>0.5</v>
      </c>
      <c r="AD6" s="154" t="str">
        <f t="shared" si="14"/>
        <v/>
      </c>
    </row>
    <row r="7" spans="1:116" x14ac:dyDescent="0.25">
      <c r="A7" s="139">
        <f t="shared" ref="A7:A10" si="17">A6+1</f>
        <v>3</v>
      </c>
      <c r="B7" s="86">
        <v>1500</v>
      </c>
      <c r="C7" s="102">
        <v>50</v>
      </c>
      <c r="D7" s="103">
        <v>2.5</v>
      </c>
      <c r="E7" s="104"/>
      <c r="F7" s="105">
        <v>0</v>
      </c>
      <c r="G7" s="95"/>
      <c r="H7" s="106">
        <f t="shared" si="0"/>
        <v>50</v>
      </c>
      <c r="I7" s="89">
        <f>B7/H7</f>
        <v>30</v>
      </c>
      <c r="J7" s="148">
        <f t="shared" si="1"/>
        <v>1</v>
      </c>
      <c r="K7" s="107">
        <f t="shared" si="2"/>
        <v>0.16666666666666666</v>
      </c>
      <c r="L7" s="95"/>
      <c r="M7" s="34" t="str">
        <f>IF(E7=11,K7,"")</f>
        <v/>
      </c>
      <c r="N7" s="156" t="str">
        <f>IF(E7=12,$N$4*K7,"")</f>
        <v/>
      </c>
      <c r="O7" s="34">
        <f t="shared" si="3"/>
        <v>0</v>
      </c>
      <c r="P7" s="4">
        <f t="shared" si="4"/>
        <v>0</v>
      </c>
      <c r="Q7" s="15">
        <f t="shared" si="16"/>
        <v>0</v>
      </c>
      <c r="R7" s="140">
        <f t="shared" si="5"/>
        <v>6.6666666666666666E-2</v>
      </c>
      <c r="S7" s="109" t="str">
        <f t="shared" si="6"/>
        <v/>
      </c>
      <c r="T7" s="108">
        <f t="shared" si="7"/>
        <v>6.6666666666666666E-2</v>
      </c>
      <c r="U7" s="109">
        <f t="shared" si="8"/>
        <v>4.8635989975877841E-2</v>
      </c>
      <c r="V7" s="48"/>
      <c r="W7" s="108">
        <f t="shared" si="9"/>
        <v>3.4045192983114488E-2</v>
      </c>
      <c r="X7" s="110">
        <f t="shared" si="10"/>
        <v>0.05</v>
      </c>
      <c r="Y7" s="48"/>
      <c r="Z7" s="111">
        <f t="shared" si="11"/>
        <v>8.4045192983114497E-2</v>
      </c>
      <c r="AB7" s="79">
        <f t="shared" si="12"/>
        <v>6.6666666666666666E-2</v>
      </c>
      <c r="AC7" s="79">
        <f t="shared" si="13"/>
        <v>0.5</v>
      </c>
      <c r="AD7" s="154">
        <f t="shared" si="14"/>
        <v>0</v>
      </c>
    </row>
    <row r="8" spans="1:116" x14ac:dyDescent="0.25">
      <c r="A8" s="139">
        <f t="shared" si="17"/>
        <v>4</v>
      </c>
      <c r="B8" s="86">
        <v>1500</v>
      </c>
      <c r="C8" s="102">
        <v>50</v>
      </c>
      <c r="D8" s="103">
        <v>2.5</v>
      </c>
      <c r="E8" s="104"/>
      <c r="F8" s="105">
        <v>15</v>
      </c>
      <c r="G8" s="95"/>
      <c r="H8" s="106">
        <f t="shared" si="0"/>
        <v>50</v>
      </c>
      <c r="I8" s="89">
        <f>B8/H8</f>
        <v>30</v>
      </c>
      <c r="J8" s="148">
        <f t="shared" si="1"/>
        <v>1</v>
      </c>
      <c r="K8" s="107">
        <f t="shared" si="2"/>
        <v>0.16666666666666666</v>
      </c>
      <c r="L8" s="95"/>
      <c r="M8" s="34" t="str">
        <f>IF(E8=11,K8,"")</f>
        <v/>
      </c>
      <c r="N8" s="156" t="str">
        <f>IF(E8=12,$N$4*K8,"")</f>
        <v/>
      </c>
      <c r="O8" s="34">
        <f t="shared" si="3"/>
        <v>7.3170731707317069E-2</v>
      </c>
      <c r="P8" s="4">
        <f t="shared" si="4"/>
        <v>7.3170731707317069E-2</v>
      </c>
      <c r="Q8" s="15">
        <f t="shared" si="16"/>
        <v>5.9057079937631603E-2</v>
      </c>
      <c r="R8" s="140">
        <f t="shared" si="5"/>
        <v>6.6666666666666666E-2</v>
      </c>
      <c r="S8" s="109" t="str">
        <f t="shared" si="6"/>
        <v/>
      </c>
      <c r="T8" s="108">
        <f t="shared" si="7"/>
        <v>6.6666666666666666E-2</v>
      </c>
      <c r="U8" s="109">
        <f t="shared" si="8"/>
        <v>4.8635989975877841E-2</v>
      </c>
      <c r="V8" s="48"/>
      <c r="W8" s="108">
        <f t="shared" ref="W8" si="18">$W$4*U8</f>
        <v>3.4045192983114488E-2</v>
      </c>
      <c r="X8" s="110">
        <f t="shared" si="10"/>
        <v>0.05</v>
      </c>
      <c r="Y8" s="48"/>
      <c r="Z8" s="111">
        <f t="shared" ref="Z8" si="19">X8+W8</f>
        <v>8.4045192983114497E-2</v>
      </c>
      <c r="AB8" s="79">
        <f t="shared" si="12"/>
        <v>6.6666666666666666E-2</v>
      </c>
      <c r="AC8" s="79">
        <f t="shared" si="13"/>
        <v>0.5</v>
      </c>
      <c r="AD8" s="154">
        <f t="shared" si="14"/>
        <v>0.35434247962578963</v>
      </c>
    </row>
    <row r="9" spans="1:116" x14ac:dyDescent="0.25">
      <c r="A9" s="139">
        <f t="shared" si="17"/>
        <v>5</v>
      </c>
      <c r="B9" s="86">
        <v>1670</v>
      </c>
      <c r="C9" s="102">
        <v>50</v>
      </c>
      <c r="D9" s="103">
        <v>2.5</v>
      </c>
      <c r="E9" s="104"/>
      <c r="F9" s="105">
        <v>20</v>
      </c>
      <c r="G9" s="95"/>
      <c r="H9" s="106">
        <f t="shared" si="0"/>
        <v>50</v>
      </c>
      <c r="I9" s="89">
        <f t="shared" si="15"/>
        <v>33.4</v>
      </c>
      <c r="J9" s="148">
        <f t="shared" si="1"/>
        <v>0.89820359281437134</v>
      </c>
      <c r="K9" s="107">
        <f t="shared" si="2"/>
        <v>0.16666666666666666</v>
      </c>
      <c r="L9" s="95"/>
      <c r="M9" s="34" t="str">
        <f t="shared" ref="M9" si="20">IF(E9=11,K9,"")</f>
        <v/>
      </c>
      <c r="N9" s="156" t="str">
        <f t="shared" ref="N9" si="21">IF(E9=12,$N$4*K9,"")</f>
        <v/>
      </c>
      <c r="O9" s="34">
        <f t="shared" si="3"/>
        <v>9.7560975609756101E-2</v>
      </c>
      <c r="P9" s="4">
        <f t="shared" si="4"/>
        <v>8.7629618811158189E-2</v>
      </c>
      <c r="Q9" s="15">
        <f t="shared" si="16"/>
        <v>7.0727041841474991E-2</v>
      </c>
      <c r="R9" s="140" t="str">
        <f t="shared" si="5"/>
        <v/>
      </c>
      <c r="S9" s="109" t="str">
        <f t="shared" si="6"/>
        <v/>
      </c>
      <c r="T9" s="108">
        <f t="shared" si="7"/>
        <v>7.0727041841474991E-2</v>
      </c>
      <c r="U9" s="109">
        <f t="shared" si="8"/>
        <v>5.1598195470382059E-2</v>
      </c>
      <c r="V9" s="48"/>
      <c r="W9" s="108">
        <f t="shared" si="9"/>
        <v>3.6118736829267438E-2</v>
      </c>
      <c r="X9" s="110">
        <f t="shared" si="10"/>
        <v>0.05</v>
      </c>
      <c r="Y9" s="48"/>
      <c r="Z9" s="111">
        <f t="shared" si="11"/>
        <v>8.6118736829267434E-2</v>
      </c>
      <c r="AB9" s="79">
        <f t="shared" si="12"/>
        <v>6.6666666666666666E-2</v>
      </c>
      <c r="AC9" s="79">
        <f t="shared" si="13"/>
        <v>0.5</v>
      </c>
      <c r="AD9" s="154">
        <f t="shared" si="14"/>
        <v>0.42436225104884995</v>
      </c>
    </row>
    <row r="10" spans="1:116" ht="15.75" thickBot="1" x14ac:dyDescent="0.3">
      <c r="A10" s="141">
        <f t="shared" si="17"/>
        <v>6</v>
      </c>
      <c r="B10" s="87">
        <v>1870</v>
      </c>
      <c r="C10" s="112">
        <v>50</v>
      </c>
      <c r="D10" s="113">
        <v>2.5</v>
      </c>
      <c r="E10" s="114"/>
      <c r="F10" s="115">
        <v>170</v>
      </c>
      <c r="G10" s="95"/>
      <c r="H10" s="116">
        <f t="shared" si="0"/>
        <v>50</v>
      </c>
      <c r="I10" s="90">
        <f t="shared" si="15"/>
        <v>37.4</v>
      </c>
      <c r="J10" s="149">
        <f t="shared" si="1"/>
        <v>0.80213903743315507</v>
      </c>
      <c r="K10" s="117">
        <f t="shared" si="2"/>
        <v>0.16666666666666666</v>
      </c>
      <c r="L10" s="95"/>
      <c r="M10" s="35" t="str">
        <f>IF(E10=11,K10,"")</f>
        <v/>
      </c>
      <c r="N10" s="157" t="str">
        <f>IF(E10=12,$N$4*K10,"")</f>
        <v/>
      </c>
      <c r="O10" s="35">
        <f t="shared" si="3"/>
        <v>0.82926829268292679</v>
      </c>
      <c r="P10" s="9">
        <f t="shared" si="4"/>
        <v>0.66518847006651882</v>
      </c>
      <c r="Q10" s="15">
        <f t="shared" si="16"/>
        <v>0.53688254488756004</v>
      </c>
      <c r="R10" s="142" t="str">
        <f t="shared" si="5"/>
        <v/>
      </c>
      <c r="S10" s="119">
        <f t="shared" si="6"/>
        <v>0.5</v>
      </c>
      <c r="T10" s="118">
        <f t="shared" si="7"/>
        <v>0.5</v>
      </c>
      <c r="U10" s="119">
        <f t="shared" si="8"/>
        <v>0.36476992481908382</v>
      </c>
      <c r="V10" s="48"/>
      <c r="W10" s="118">
        <f t="shared" si="9"/>
        <v>0.25533894737335866</v>
      </c>
      <c r="X10" s="120">
        <f t="shared" si="10"/>
        <v>0.05</v>
      </c>
      <c r="Y10" s="48"/>
      <c r="Z10" s="121">
        <f t="shared" si="11"/>
        <v>0.30533894737335865</v>
      </c>
      <c r="AB10" s="79">
        <f t="shared" si="12"/>
        <v>6.6666666666666666E-2</v>
      </c>
      <c r="AC10" s="79">
        <f t="shared" si="13"/>
        <v>0.5</v>
      </c>
      <c r="AD10" s="154">
        <f t="shared" si="14"/>
        <v>3.2212952693253603</v>
      </c>
    </row>
    <row r="11" spans="1:116" ht="15.75" thickTop="1" x14ac:dyDescent="0.25">
      <c r="A11" s="143">
        <f>COUNT(A5:A10)</f>
        <v>6</v>
      </c>
      <c r="B11" s="144">
        <f>SUM(B5:B10)</f>
        <v>10080</v>
      </c>
      <c r="C11" s="122">
        <f>SUM(C5:C10)</f>
        <v>300</v>
      </c>
      <c r="D11" s="123">
        <f>SUM(D5:D10)</f>
        <v>15</v>
      </c>
      <c r="E11" s="124">
        <f>COUNT(E5:E10)</f>
        <v>2</v>
      </c>
      <c r="F11" s="125">
        <f>SUM(F5:F10)</f>
        <v>205</v>
      </c>
      <c r="G11" s="95"/>
      <c r="H11" s="126">
        <f>SUM(H5:H10)</f>
        <v>300</v>
      </c>
      <c r="I11" s="11" t="s">
        <v>5</v>
      </c>
      <c r="J11" s="145">
        <f>SUM(J5:J10)</f>
        <v>5.4006852604950524</v>
      </c>
      <c r="K11" s="127">
        <f>SUM(K5:K10)</f>
        <v>0.99999999999999989</v>
      </c>
      <c r="L11" s="128"/>
      <c r="M11" s="129">
        <f t="shared" ref="M11:U11" si="22">SUM(M5:M10)</f>
        <v>0.16666666666666666</v>
      </c>
      <c r="N11" s="130">
        <f t="shared" si="22"/>
        <v>0.5</v>
      </c>
      <c r="O11" s="131">
        <f t="shared" si="22"/>
        <v>1</v>
      </c>
      <c r="P11" s="132">
        <f t="shared" si="22"/>
        <v>0.82598882058499412</v>
      </c>
      <c r="Q11" s="132">
        <f t="shared" si="22"/>
        <v>0.66666666666666663</v>
      </c>
      <c r="R11" s="132">
        <f t="shared" si="22"/>
        <v>0.13333333333333333</v>
      </c>
      <c r="S11" s="133">
        <f t="shared" si="22"/>
        <v>0.5</v>
      </c>
      <c r="T11" s="131">
        <f t="shared" si="22"/>
        <v>1.370727041841475</v>
      </c>
      <c r="U11" s="133">
        <f t="shared" si="22"/>
        <v>1</v>
      </c>
      <c r="V11" s="54"/>
      <c r="W11" s="134">
        <f>SUM(W5:W10)</f>
        <v>0.7</v>
      </c>
      <c r="X11" s="135">
        <f>SUM(X5:X10)</f>
        <v>0.3</v>
      </c>
      <c r="Y11" s="54"/>
      <c r="Z11" s="136">
        <f>SUM(Z5:Z10)</f>
        <v>1</v>
      </c>
    </row>
    <row r="12" spans="1:116" x14ac:dyDescent="0.25">
      <c r="F12" s="84">
        <f>A11-E11</f>
        <v>4</v>
      </c>
      <c r="I12" s="10">
        <f>MIN(I5:I10)</f>
        <v>30</v>
      </c>
    </row>
    <row r="13" spans="1:116" x14ac:dyDescent="0.25">
      <c r="D13" s="80">
        <f>MIN(D5:D10)</f>
        <v>2.5</v>
      </c>
      <c r="E13" s="82" t="s">
        <v>35</v>
      </c>
      <c r="F13" s="83"/>
      <c r="Z13" t="str">
        <f>IF(AND(C7&lt;&gt;11,C7&lt;&gt;12),IF(U7=0,#REF!+#REF!,""),"")</f>
        <v/>
      </c>
      <c r="DI13" s="146"/>
      <c r="DJ13" s="72" t="s">
        <v>30</v>
      </c>
      <c r="DK13" s="72"/>
      <c r="DL13" s="72"/>
    </row>
    <row r="14" spans="1:116" ht="15.75" customHeight="1" x14ac:dyDescent="0.25">
      <c r="D14" s="80">
        <f>MAX(D5:D10)</f>
        <v>2.5</v>
      </c>
      <c r="E14" s="82" t="s">
        <v>36</v>
      </c>
      <c r="F14" s="83"/>
      <c r="H14" s="80">
        <f>(M11+N11/N4)*C11</f>
        <v>100</v>
      </c>
      <c r="I14" s="82" t="s">
        <v>38</v>
      </c>
      <c r="J14" s="82"/>
      <c r="K14" s="83"/>
      <c r="L14" s="1"/>
      <c r="M14" s="1"/>
      <c r="Z14" t="str">
        <f>IF(AND(C9&lt;&gt;11,C9&lt;&gt;12),IF(U9=0,#REF!+#REF!,""),"")</f>
        <v/>
      </c>
      <c r="DI14" s="146"/>
      <c r="DJ14" s="73" t="s">
        <v>29</v>
      </c>
      <c r="DK14" s="73" t="str">
        <f>Q2</f>
        <v>porabniški delež po delilnikih 15. člen
4. odstavek</v>
      </c>
      <c r="DL14" s="73" t="s">
        <v>28</v>
      </c>
    </row>
    <row r="15" spans="1:116" x14ac:dyDescent="0.25">
      <c r="D15" s="81">
        <f>100*(D14/D13-1)</f>
        <v>0</v>
      </c>
      <c r="E15" s="82" t="s">
        <v>37</v>
      </c>
      <c r="F15" s="83"/>
      <c r="H15" s="80">
        <f>H11-H14</f>
        <v>200</v>
      </c>
      <c r="I15" s="82" t="s">
        <v>39</v>
      </c>
      <c r="J15" s="82"/>
      <c r="K15" s="83"/>
      <c r="L15" s="1"/>
      <c r="M15" s="1"/>
      <c r="DI15" s="146">
        <f t="shared" ref="DI15:DI20" si="23">A5</f>
        <v>1</v>
      </c>
      <c r="DJ15" s="74">
        <f t="shared" ref="DJ15:DJ20" si="24">IF(M5&lt;&gt;"",M5,N5)</f>
        <v>0.16666666666666666</v>
      </c>
      <c r="DK15" s="74" t="str">
        <f t="shared" ref="DK15:DK20" si="25">Q5</f>
        <v/>
      </c>
      <c r="DL15" s="74">
        <f t="shared" ref="DL15:DL20" si="26">U5</f>
        <v>0.1215899749396946</v>
      </c>
    </row>
    <row r="16" spans="1:116" ht="14.25" customHeight="1" x14ac:dyDescent="0.25">
      <c r="DI16" s="146">
        <f t="shared" si="23"/>
        <v>2</v>
      </c>
      <c r="DJ16" s="74">
        <f t="shared" si="24"/>
        <v>0.5</v>
      </c>
      <c r="DK16" s="74" t="str">
        <f t="shared" si="25"/>
        <v/>
      </c>
      <c r="DL16" s="74">
        <f t="shared" si="26"/>
        <v>0.36476992481908382</v>
      </c>
    </row>
    <row r="17" spans="1:116" x14ac:dyDescent="0.25">
      <c r="A17" s="7"/>
      <c r="DI17" s="146">
        <f t="shared" si="23"/>
        <v>3</v>
      </c>
      <c r="DJ17" s="74" t="str">
        <f t="shared" si="24"/>
        <v/>
      </c>
      <c r="DK17" s="74">
        <f t="shared" si="25"/>
        <v>0</v>
      </c>
      <c r="DL17" s="74">
        <f t="shared" si="26"/>
        <v>4.8635989975877841E-2</v>
      </c>
    </row>
    <row r="18" spans="1:116" x14ac:dyDescent="0.25">
      <c r="A18" s="2" t="s">
        <v>46</v>
      </c>
      <c r="DI18" s="146">
        <f t="shared" si="23"/>
        <v>4</v>
      </c>
      <c r="DJ18" s="74" t="str">
        <f t="shared" si="24"/>
        <v/>
      </c>
      <c r="DK18" s="74">
        <f t="shared" si="25"/>
        <v>5.9057079937631603E-2</v>
      </c>
      <c r="DL18" s="74">
        <f t="shared" si="26"/>
        <v>4.8635989975877841E-2</v>
      </c>
    </row>
    <row r="19" spans="1:116" x14ac:dyDescent="0.25">
      <c r="DI19" s="146">
        <f t="shared" si="23"/>
        <v>5</v>
      </c>
      <c r="DJ19" s="74" t="str">
        <f t="shared" si="24"/>
        <v/>
      </c>
      <c r="DK19" s="74">
        <f t="shared" si="25"/>
        <v>7.0727041841474991E-2</v>
      </c>
      <c r="DL19" s="74">
        <f t="shared" si="26"/>
        <v>5.1598195470382059E-2</v>
      </c>
    </row>
    <row r="20" spans="1:116" x14ac:dyDescent="0.25">
      <c r="DI20" s="146">
        <f t="shared" si="23"/>
        <v>6</v>
      </c>
      <c r="DJ20" s="74" t="str">
        <f t="shared" si="24"/>
        <v/>
      </c>
      <c r="DK20" s="74">
        <f t="shared" si="25"/>
        <v>0.53688254488756004</v>
      </c>
      <c r="DL20" s="74">
        <f t="shared" si="26"/>
        <v>0.36476992481908382</v>
      </c>
    </row>
  </sheetData>
  <conditionalFormatting sqref="E5:E10">
    <cfRule type="cellIs" dxfId="8" priority="1" operator="equal">
      <formula>12</formula>
    </cfRule>
    <cfRule type="cellIs" dxfId="7" priority="2" operator="equal">
      <formula>11</formula>
    </cfRule>
    <cfRule type="cellIs" dxfId="6" priority="18" operator="equal">
      <formula>12</formula>
    </cfRule>
  </conditionalFormatting>
  <conditionalFormatting sqref="D15">
    <cfRule type="cellIs" dxfId="5" priority="17" operator="greaterThan">
      <formula>10</formula>
    </cfRule>
  </conditionalFormatting>
  <conditionalFormatting sqref="Q5:Q10">
    <cfRule type="cellIs" dxfId="4" priority="14" operator="equal">
      <formula>$T$5</formula>
    </cfRule>
  </conditionalFormatting>
  <conditionalFormatting sqref="R5:S10">
    <cfRule type="cellIs" dxfId="3" priority="5" operator="between">
      <formula>0</formula>
      <formula>1</formula>
    </cfRule>
    <cfRule type="cellIs" dxfId="2" priority="6" operator="greaterThan">
      <formula>""""""</formula>
    </cfRule>
  </conditionalFormatting>
  <conditionalFormatting sqref="M5:N10">
    <cfRule type="cellIs" dxfId="1" priority="3" operator="between">
      <formula>0</formula>
      <formula>1</formula>
    </cfRule>
  </conditionalFormatting>
  <conditionalFormatting sqref="I5:I10">
    <cfRule type="top10" dxfId="0" priority="42" bottom="1" rank="1"/>
    <cfRule type="top10" priority="43" bottom="1" rank="1"/>
  </conditionalFormatting>
  <pageMargins left="0.25" right="0.25" top="0.75" bottom="0.75" header="0.3" footer="0.3"/>
  <pageSetup paperSize="9" scale="3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BD55" sqref="BD55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49154" r:id="rId3">
          <objectPr defaultSize="0" r:id="rId4">
            <anchor moveWithCells="1">
              <from>
                <xdr:col>0</xdr:col>
                <xdr:colOff>123825</xdr:colOff>
                <xdr:row>0</xdr:row>
                <xdr:rowOff>123825</xdr:rowOff>
              </from>
              <to>
                <xdr:col>49</xdr:col>
                <xdr:colOff>304800</xdr:colOff>
                <xdr:row>75</xdr:row>
                <xdr:rowOff>180975</xdr:rowOff>
              </to>
            </anchor>
          </objectPr>
        </oleObject>
      </mc:Choice>
      <mc:Fallback>
        <oleObject progId="Visio.Drawing.11" shapeId="4915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Grafikoni</vt:lpstr>
      </vt:variant>
      <vt:variant>
        <vt:i4>1</vt:i4>
      </vt:variant>
    </vt:vector>
  </HeadingPairs>
  <TitlesOfParts>
    <vt:vector size="3" baseType="lpstr">
      <vt:lpstr>primer ogrevanje</vt:lpstr>
      <vt:lpstr>postopek</vt:lpstr>
      <vt:lpstr>grafikon</vt:lpstr>
    </vt:vector>
  </TitlesOfParts>
  <Company>MZI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MZI</dc:creator>
  <cp:lastModifiedBy>Gregor Plavčak</cp:lastModifiedBy>
  <cp:lastPrinted>2016-05-13T06:23:49Z</cp:lastPrinted>
  <dcterms:created xsi:type="dcterms:W3CDTF">2014-03-06T16:34:35Z</dcterms:created>
  <dcterms:modified xsi:type="dcterms:W3CDTF">2016-09-29T15:28:11Z</dcterms:modified>
</cp:coreProperties>
</file>